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<sst xmlns="http://schemas.openxmlformats.org/spreadsheetml/2006/main" count="337" uniqueCount="262">
  <si>
    <t>CHARGES GENERALES</t>
  </si>
  <si>
    <t>Honoraires de gestion</t>
  </si>
  <si>
    <t>Frais de gestion</t>
  </si>
  <si>
    <t>Honoraires divers</t>
  </si>
  <si>
    <t>non récupérables</t>
  </si>
  <si>
    <t>récupérables</t>
  </si>
  <si>
    <t>Consommation électrique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</si>
  <si>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</si>
  <si>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</si>
  <si>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</si>
  <si>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</si>
  <si>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</si>
  <si>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</si>
  <si>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</si>
  <si>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</si>
  <si>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</si>
  <si>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</si>
  <si>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</si>
  <si>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</si>
  <si>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Assurance R.C. Personnel</t>
  </si>
  <si>
    <t>Salires bruts</t>
  </si>
  <si>
    <t>bruts 2004</t>
  </si>
  <si>
    <t>indemnités journalières</t>
  </si>
  <si>
    <t>Charges sociales, tickets restaurants</t>
  </si>
  <si>
    <t>Charges sociales diverses</t>
  </si>
  <si>
    <t>CHARGES IMMOBILIERES</t>
  </si>
  <si>
    <t>reprise solde</t>
  </si>
  <si>
    <t>honoraires 2004</t>
  </si>
  <si>
    <t>Cybermut</t>
  </si>
  <si>
    <t>AOL</t>
  </si>
  <si>
    <t>Office dépôt</t>
  </si>
  <si>
    <t>La Poste</t>
  </si>
  <si>
    <t>orange</t>
  </si>
  <si>
    <t>Imprimerie Lingo</t>
  </si>
  <si>
    <t>Tabac Amar, cartes téléphonne</t>
  </si>
  <si>
    <t>Avalencre</t>
  </si>
  <si>
    <t>NH3 service</t>
  </si>
  <si>
    <t>Excelice</t>
  </si>
  <si>
    <t>Lana, enveloppes</t>
  </si>
  <si>
    <t>Marionnaud</t>
  </si>
  <si>
    <t>Divers</t>
  </si>
  <si>
    <t>FNAC, cartouches encre</t>
  </si>
  <si>
    <t>Frais des  2  A.G.O.</t>
  </si>
  <si>
    <t>PC Center, informatique</t>
  </si>
  <si>
    <t>Copie Center, photocopies</t>
  </si>
  <si>
    <t>URSSAF</t>
  </si>
  <si>
    <t>ASSEDIC</t>
  </si>
  <si>
    <t>TAXES sur SALAIRES</t>
  </si>
  <si>
    <t>IPRIS</t>
  </si>
  <si>
    <t>IRRAPRI</t>
  </si>
  <si>
    <t>SWISS LIFE</t>
  </si>
  <si>
    <t>Tickets restaurant</t>
  </si>
  <si>
    <t>AGEFOS</t>
  </si>
  <si>
    <t>FONGECIF</t>
  </si>
  <si>
    <t>ASSEDIC, précompte salarié</t>
  </si>
  <si>
    <t>IPRIS, précompte salarié</t>
  </si>
  <si>
    <t>IRRAPRI, précompte salarié</t>
  </si>
  <si>
    <t>SWISS LIFE, précompte salarié</t>
  </si>
  <si>
    <t>Tickets restaurant, quote part salarié</t>
  </si>
  <si>
    <t>Médecine du travail</t>
  </si>
  <si>
    <t>Galeries gourmandes</t>
  </si>
  <si>
    <t>Holderbach, repas Noël</t>
  </si>
  <si>
    <t>Kok</t>
  </si>
  <si>
    <t>Atac</t>
  </si>
  <si>
    <t>Pharmacie Vauban</t>
  </si>
  <si>
    <t>Samac</t>
  </si>
  <si>
    <t>Lehmann</t>
  </si>
  <si>
    <t>AES</t>
  </si>
  <si>
    <t>DEBS</t>
  </si>
  <si>
    <t>Stievenard</t>
  </si>
  <si>
    <t>Locaux ASERE propriétaire</t>
  </si>
  <si>
    <t>Centre Commercial T1</t>
  </si>
  <si>
    <t>Centre Commercial T 2</t>
  </si>
  <si>
    <t>IGA, blvd Victoire</t>
  </si>
  <si>
    <t>Lot N</t>
  </si>
  <si>
    <t>Locatim, remboursement Génie Climatique</t>
  </si>
  <si>
    <t>Provision travaux réfection parking T2</t>
  </si>
  <si>
    <t>Locaux ASERE locataire</t>
  </si>
  <si>
    <t>Loyer parking souterrain</t>
  </si>
  <si>
    <t>Entretien locaux ASERE</t>
  </si>
  <si>
    <t>Assurance locaux</t>
  </si>
  <si>
    <t>Muller Vogel</t>
  </si>
  <si>
    <t>Génie Climatique</t>
  </si>
  <si>
    <t>Impôts fonciers</t>
  </si>
  <si>
    <t>Centre Commercial Victoire</t>
  </si>
  <si>
    <t>ACHATS</t>
  </si>
  <si>
    <t>Achats matériel, outillage</t>
  </si>
  <si>
    <t>Leroy Merlin</t>
  </si>
  <si>
    <t>Krauth</t>
  </si>
  <si>
    <t>Siehr</t>
  </si>
  <si>
    <t>Achats arbres et tailles</t>
  </si>
  <si>
    <t>Voegel</t>
  </si>
  <si>
    <t>Panobois</t>
  </si>
  <si>
    <t>Achats bancs et corbeilles</t>
  </si>
  <si>
    <t>Sineu Graff</t>
  </si>
  <si>
    <t>Marquage de l'Est</t>
  </si>
  <si>
    <t>Achats matériel électrique</t>
  </si>
  <si>
    <t>Electro 2000</t>
  </si>
  <si>
    <t>Achats divers</t>
  </si>
  <si>
    <t>Issler</t>
  </si>
  <si>
    <t>Ringenwald</t>
  </si>
  <si>
    <t>Achats végétaux</t>
  </si>
  <si>
    <t>Barth</t>
  </si>
  <si>
    <t>Naegely</t>
  </si>
  <si>
    <t>Kobloth</t>
  </si>
  <si>
    <t>Comptoir Agricole</t>
  </si>
  <si>
    <t>Nungesser</t>
  </si>
  <si>
    <t>Cine</t>
  </si>
  <si>
    <t>Collet Environnement</t>
  </si>
  <si>
    <t>Achat matériel de nettoyage</t>
  </si>
  <si>
    <t>CGED</t>
  </si>
  <si>
    <t>Mathelec ( 4 factures )</t>
  </si>
  <si>
    <t>CGED ( 8 factures )</t>
  </si>
  <si>
    <t>Achats quincaillerie</t>
  </si>
  <si>
    <t>Leroy Merlin ( 2 factures )</t>
  </si>
  <si>
    <t>Siehr ( 4 factures )</t>
  </si>
  <si>
    <t>Achats peinture</t>
  </si>
  <si>
    <t>Mek Alsace ( 4 factures )</t>
  </si>
  <si>
    <t>Achats sel, sable, ciment, etc ..</t>
  </si>
  <si>
    <t>BPE ( 4 factures )</t>
  </si>
  <si>
    <t>Siehr ( 6 factures )</t>
  </si>
  <si>
    <t>Holcim ( 2 factures )</t>
  </si>
  <si>
    <t>Muller Vogel ( 2 factures )</t>
  </si>
  <si>
    <t>Leroy Merlin (18 factures )</t>
  </si>
  <si>
    <t>Siehr ( 3 factures )</t>
  </si>
  <si>
    <t>Pum</t>
  </si>
  <si>
    <t>Photorep</t>
  </si>
  <si>
    <t>Levy Frey</t>
  </si>
  <si>
    <t>Floris</t>
  </si>
  <si>
    <t>ENTRETIEN MATERIEL</t>
  </si>
  <si>
    <t>Assurance Sécurité conducteurs</t>
  </si>
  <si>
    <t>Assurance Flotte</t>
  </si>
  <si>
    <t>Assurance Bris de machine</t>
  </si>
  <si>
    <t>Matériel, amortissement</t>
  </si>
  <si>
    <t>Krauth ( 3 factures )</t>
  </si>
  <si>
    <t>France Telecom</t>
  </si>
  <si>
    <t>FNAC ( 2 factures )</t>
  </si>
  <si>
    <t>Provision 2004</t>
  </si>
  <si>
    <t>Matériel, consommation essence, huile, etc ..</t>
  </si>
  <si>
    <t>Alsace Equipement</t>
  </si>
  <si>
    <t>Maeder ( 4 factures )</t>
  </si>
  <si>
    <t>Agip ( 8 factures )</t>
  </si>
  <si>
    <t>Matériel, entretien, réparation</t>
  </si>
  <si>
    <t>Freiss ( 2 factures )</t>
  </si>
  <si>
    <t>Véritas ( 2 factures )</t>
  </si>
  <si>
    <t>Maeder ( 2 factures )</t>
  </si>
  <si>
    <t>Fricker, franchise assurance</t>
  </si>
  <si>
    <t>Daessle ( 9 factures )</t>
  </si>
  <si>
    <t>Feu vert</t>
  </si>
  <si>
    <t>Elf</t>
  </si>
  <si>
    <t>Esso Esplanade</t>
  </si>
  <si>
    <t>Agip</t>
  </si>
  <si>
    <t>Europauto ( 2 factures )</t>
  </si>
  <si>
    <t>Renault ( 2 factures )</t>
  </si>
  <si>
    <t>Norauto</t>
  </si>
  <si>
    <t>Total Finaelf</t>
  </si>
  <si>
    <t>Concept pneus</t>
  </si>
  <si>
    <t>Krauth ( 2 factures )</t>
  </si>
  <si>
    <t>ENTRETIEN GENERAL</t>
  </si>
  <si>
    <t>Réfection des pelouses</t>
  </si>
  <si>
    <t>Gazonnières Alsace ( 3 factures )</t>
  </si>
  <si>
    <t>Nungesser ( 2 factures )</t>
  </si>
  <si>
    <t>Pose chicanes, arceaux vélos</t>
  </si>
  <si>
    <t>Semak</t>
  </si>
  <si>
    <t>Entretien divers</t>
  </si>
  <si>
    <t>Kellner</t>
  </si>
  <si>
    <t>Enlèvements déchets, poubelles</t>
  </si>
  <si>
    <t>Alpho Onyx ( 12 factures )</t>
  </si>
  <si>
    <t>Entretien avaloirs, puisards</t>
  </si>
  <si>
    <t>Lehmann ( 2 factures )</t>
  </si>
  <si>
    <t>Foncia, participation</t>
  </si>
  <si>
    <t>Entretien bassins</t>
  </si>
  <si>
    <t>Pum ( 3 factures )</t>
  </si>
  <si>
    <t>Eden Technology ( 4 factures )</t>
  </si>
  <si>
    <t>Entretien jeux, bancs, grillages</t>
  </si>
  <si>
    <t>Krieger</t>
  </si>
  <si>
    <t>KDI</t>
  </si>
  <si>
    <t>Marquage au sol</t>
  </si>
  <si>
    <t>Mek Alsace ( 3 factures )</t>
  </si>
  <si>
    <t>Leroy Merlin ( 7 factures )</t>
  </si>
  <si>
    <t>Kellner ( 2 factures )</t>
  </si>
  <si>
    <t>Fidest</t>
  </si>
  <si>
    <t>CINE</t>
  </si>
  <si>
    <t>DACD</t>
  </si>
  <si>
    <t>Panobois ( 2 factures )</t>
  </si>
  <si>
    <t>Point Services</t>
  </si>
  <si>
    <t>TRAVAUX EN REGIE</t>
  </si>
  <si>
    <t>Audit général des gros arbres</t>
  </si>
  <si>
    <t>Sylva technique</t>
  </si>
  <si>
    <t>Abattage des arbres dangereux</t>
  </si>
  <si>
    <t>Dépose des jeux, mise en conformité</t>
  </si>
  <si>
    <t>Kellner ( 3 factures )</t>
  </si>
  <si>
    <t xml:space="preserve">Sater </t>
  </si>
  <si>
    <t>CGED ( 2 factures )</t>
  </si>
  <si>
    <t>Fleurissement aérien</t>
  </si>
  <si>
    <t>Sineu</t>
  </si>
  <si>
    <t>Création de bacs à fleurs</t>
  </si>
  <si>
    <t>Sater</t>
  </si>
  <si>
    <t>Location matériel, nacelles</t>
  </si>
  <si>
    <t>Locarest</t>
  </si>
  <si>
    <t>Evac Eau</t>
  </si>
  <si>
    <t>Travaux en régis, fournitures</t>
  </si>
  <si>
    <t>GROS TRAVAUX AVEC MAITRISE D'OUVRE</t>
  </si>
  <si>
    <t>Haiphong</t>
  </si>
  <si>
    <t>Serue Ingénierie</t>
  </si>
  <si>
    <t>Serue, Q/P imputée à la copropriété</t>
  </si>
  <si>
    <t>Asere, Q/P imputée à la copropriété</t>
  </si>
  <si>
    <t>Asere, honoraires</t>
  </si>
  <si>
    <t>CUS HABITAT - Impasse Milan</t>
  </si>
  <si>
    <t>COPENHAGUE</t>
  </si>
  <si>
    <t>PERISCOPES 2</t>
  </si>
  <si>
    <t>HORIZON</t>
  </si>
  <si>
    <t>PERSPECTIVES</t>
  </si>
  <si>
    <t>IMPASSE DE LONDRES</t>
  </si>
  <si>
    <t>Trost</t>
  </si>
  <si>
    <t>ILOT  A</t>
  </si>
  <si>
    <t>DIVERS</t>
  </si>
  <si>
    <t>PRODUITS</t>
  </si>
  <si>
    <t>Gestion CEGIP</t>
  </si>
  <si>
    <t>solde facture Kobloth 2002</t>
  </si>
  <si>
    <t>Imputation cpte amortis. agencements</t>
  </si>
  <si>
    <t>Produits financiers et exceptionnels</t>
  </si>
  <si>
    <t>PARKING  ROME</t>
  </si>
  <si>
    <t>Provision exercice 2004</t>
  </si>
  <si>
    <t>Sous TOTAUX</t>
  </si>
  <si>
    <t>JPN ( 2 factures )</t>
  </si>
  <si>
    <t>Voegel ( 2 factures )</t>
  </si>
  <si>
    <t>Ott, remboursement sinistre</t>
  </si>
  <si>
    <t>Mathelec ( 3 factures )</t>
  </si>
  <si>
    <t>Leroy Merlin ( 3 factures )</t>
  </si>
  <si>
    <t>Kammerer ( 2 factures )</t>
  </si>
  <si>
    <t>Naegely ( 10 factures )</t>
  </si>
  <si>
    <t xml:space="preserve">Issler </t>
  </si>
  <si>
    <t>Comptoir Agricole ( 2 factures )</t>
  </si>
  <si>
    <t>Muller Vogel ( 3 factures )</t>
  </si>
  <si>
    <t>Provision pour le parking lot  N</t>
  </si>
  <si>
    <t>Provision pour enrobés Hanoi</t>
  </si>
  <si>
    <t>TRAVAUX  2004 à réaliser en 2005</t>
  </si>
  <si>
    <t>France Télécom</t>
  </si>
  <si>
    <t>Berthelen, procédure  / HANOI - SERS</t>
  </si>
  <si>
    <t>URSSAF, précompte salarié</t>
  </si>
  <si>
    <t>Loyer 4 ème trimestre impasse Londres</t>
  </si>
  <si>
    <t>Centre Commercial T1 + T2</t>
  </si>
  <si>
    <t>Ott, régularisation Blanchard</t>
  </si>
  <si>
    <t>Remplacement des mâts d'éclairage</t>
  </si>
  <si>
    <t>intérêts bon de caisse</t>
  </si>
  <si>
    <t>intérêts tonic 602</t>
  </si>
  <si>
    <t>intérêts tonic 604</t>
  </si>
  <si>
    <t>intérêts livret bleu</t>
  </si>
  <si>
    <t>intérêts livret orange</t>
  </si>
  <si>
    <t>TOTAL  Général</t>
  </si>
  <si>
    <t>Achats engrais et  désherbants</t>
  </si>
  <si>
    <t>Matériel, assurances, vignette ….</t>
  </si>
  <si>
    <t>Élagage grands arbres</t>
  </si>
  <si>
    <t>OTT, indemnités sinistre</t>
  </si>
  <si>
    <t>Sater, Q/P imputée à la copropriété</t>
  </si>
  <si>
    <t>Reprise sur compte provisions gros travaux</t>
  </si>
  <si>
    <t>Électricité</t>
  </si>
  <si>
    <t>Floréal ( 2 factures )</t>
  </si>
  <si>
    <t>Floréal ( 9 factures )</t>
  </si>
  <si>
    <t>Décathlon</t>
  </si>
  <si>
    <t xml:space="preserve">ASERE  --  RELEVE  DES  DEPENSES  --  ANNEE  2004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</si>
</sst>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4"/>
  <sheetViews>
    <sheetView tabSelected="1" workbookViewId="0" topLeftCell="A7">
      <selection activeCell="A5" sqref="A5"/>
    </sheetView>
  </sheetViews>
  <sheetFormatPr defaultColWidth="11.421875" defaultRowHeight="12.75"/>
  <cols>
    <col min="1" max="1" width="3.00390625" style="0" customWidth="1"/>
    <col min="3" max="3" width="3.7109375" style="0" customWidth="1"/>
    <col min="5" max="5" width="24.421875" style="0" customWidth="1"/>
    <col min="6" max="6" width="12.57421875" style="2" bestFit="1" customWidth="1"/>
    <col min="7" max="8" width="16.421875" style="7" customWidth="1"/>
  </cols>
  <sheetData>
    <row r="1" ht="12.75">
      <c r="A1" s="1"/>
    </row>
    <row r="4" spans="1:8" ht="18">
      <c r="A4" s="10" t="s">
        <v>261</v>
      </c>
      <c r="B4" s="10"/>
      <c r="C4" s="10"/>
      <c r="D4" s="10"/>
      <c r="E4" s="10"/>
      <c r="F4" s="10"/>
      <c r="G4" s="10"/>
      <c r="H4" s="10"/>
    </row>
    <row r="8" spans="2:8" ht="12.75">
      <c r="B8" s="1"/>
      <c r="G8" s="3" t="s">
        <v>4</v>
      </c>
      <c r="H8" s="3" t="s">
        <v>5</v>
      </c>
    </row>
    <row r="9" spans="2:8" ht="12.75">
      <c r="B9" s="1"/>
      <c r="G9" s="3"/>
      <c r="H9" s="3"/>
    </row>
    <row r="10" spans="2:8" ht="15.75">
      <c r="B10" s="11" t="s">
        <v>0</v>
      </c>
      <c r="G10" s="3"/>
      <c r="H10" s="3"/>
    </row>
    <row r="11" spans="2:8" ht="15.75">
      <c r="B11" s="11"/>
      <c r="G11" s="3"/>
      <c r="H11" s="3"/>
    </row>
    <row r="13" spans="3:7" ht="12.75">
      <c r="C13" s="4" t="s">
        <v>1</v>
      </c>
      <c r="G13" s="7">
        <f>F14+F15</f>
        <v>24850.87</v>
      </c>
    </row>
    <row r="14" spans="4:6" ht="12.75">
      <c r="D14" t="s">
        <v>26</v>
      </c>
      <c r="F14" s="2">
        <v>0.87</v>
      </c>
    </row>
    <row r="15" spans="4:6" ht="12.75">
      <c r="D15" t="s">
        <v>27</v>
      </c>
      <c r="F15" s="2">
        <v>24850</v>
      </c>
    </row>
    <row r="17" spans="3:7" ht="12.75">
      <c r="C17" s="4" t="s">
        <v>2</v>
      </c>
      <c r="G17" s="7">
        <f>SUM(F18:F35)</f>
        <v>4688.05</v>
      </c>
    </row>
    <row r="18" spans="4:6" ht="12.75">
      <c r="D18" t="s">
        <v>42</v>
      </c>
      <c r="F18" s="2">
        <f>267.35+86.83+253.94+276.27+107</f>
        <v>991.39</v>
      </c>
    </row>
    <row r="19" spans="4:6" ht="12.75">
      <c r="D19" t="s">
        <v>29</v>
      </c>
      <c r="F19" s="2">
        <f>27.99+27.99+27.99+27.99+27.99+27.99</f>
        <v>167.94</v>
      </c>
    </row>
    <row r="20" spans="4:6" ht="12.75">
      <c r="D20" t="s">
        <v>35</v>
      </c>
      <c r="F20" s="2">
        <f>21.6+17.75</f>
        <v>39.35</v>
      </c>
    </row>
    <row r="21" spans="4:6" ht="12.75">
      <c r="D21" t="s">
        <v>44</v>
      </c>
      <c r="F21" s="2">
        <f>9.28+2.88+0.4+0.96+0.72+14.88+7.04+6.96+23.52+0.72</f>
        <v>67.36</v>
      </c>
    </row>
    <row r="22" spans="4:6" ht="12.75">
      <c r="D22" t="s">
        <v>28</v>
      </c>
      <c r="F22" s="2">
        <f>8.97+8.97+8.97+8.97+8.97+8.97+8.97+8.97+8.97+8.97+8.97+8.97</f>
        <v>107.64</v>
      </c>
    </row>
    <row r="23" spans="4:6" ht="12.75">
      <c r="D23" t="s">
        <v>37</v>
      </c>
      <c r="F23" s="2">
        <v>318.14</v>
      </c>
    </row>
    <row r="24" spans="4:6" ht="12.75">
      <c r="D24" t="s">
        <v>41</v>
      </c>
      <c r="F24" s="2">
        <v>84.46</v>
      </c>
    </row>
    <row r="25" spans="4:6" ht="12.75">
      <c r="D25" t="s">
        <v>238</v>
      </c>
      <c r="F25" s="2">
        <f>72.14+83.52+65.49+94.88+9.76+56.18+63.24</f>
        <v>445.21</v>
      </c>
    </row>
    <row r="26" spans="4:6" ht="12.75">
      <c r="D26" t="s">
        <v>33</v>
      </c>
      <c r="F26" s="2">
        <v>131.56</v>
      </c>
    </row>
    <row r="27" spans="4:6" ht="12.75">
      <c r="D27" t="s">
        <v>31</v>
      </c>
      <c r="F27" s="2">
        <f>95+6.66+18.06+190+8.6+4.3+4.3+3.8+4.3+4.3</f>
        <v>339.3200000000001</v>
      </c>
    </row>
    <row r="28" spans="4:6" ht="12.75">
      <c r="D28" t="s">
        <v>38</v>
      </c>
      <c r="F28" s="2">
        <v>15</v>
      </c>
    </row>
    <row r="29" spans="4:6" ht="12.75">
      <c r="D29" t="s">
        <v>39</v>
      </c>
      <c r="F29" s="2">
        <v>68.96</v>
      </c>
    </row>
    <row r="30" spans="4:6" ht="12.75">
      <c r="D30" t="s">
        <v>36</v>
      </c>
      <c r="F30" s="2">
        <v>21</v>
      </c>
    </row>
    <row r="31" spans="4:6" ht="12.75">
      <c r="D31" t="s">
        <v>30</v>
      </c>
      <c r="F31" s="2">
        <f>92.93+312.28+160.54</f>
        <v>565.75</v>
      </c>
    </row>
    <row r="32" spans="4:6" ht="12.75">
      <c r="D32" t="s">
        <v>32</v>
      </c>
      <c r="F32" s="2">
        <f>61.63+76.83+74.5+54.8+76.38+25.7+62.81+50.53+82.38+75.11+90.02+71.45</f>
        <v>802.14</v>
      </c>
    </row>
    <row r="33" spans="4:6" ht="12.75">
      <c r="D33" t="s">
        <v>43</v>
      </c>
      <c r="F33" s="2">
        <f>55+55+48.75+92.6</f>
        <v>251.35</v>
      </c>
    </row>
    <row r="34" spans="4:6" ht="12.75">
      <c r="D34" t="s">
        <v>34</v>
      </c>
      <c r="F34" s="2">
        <f>50+30+50+50</f>
        <v>180</v>
      </c>
    </row>
    <row r="35" spans="4:6" ht="12.75">
      <c r="D35" t="s">
        <v>40</v>
      </c>
      <c r="F35" s="2">
        <v>91.48</v>
      </c>
    </row>
    <row r="37" spans="3:7" ht="12.75">
      <c r="C37" s="4" t="s">
        <v>3</v>
      </c>
      <c r="G37" s="7">
        <f>F38</f>
        <v>1196</v>
      </c>
    </row>
    <row r="38" spans="4:6" ht="12.75">
      <c r="D38" t="s">
        <v>239</v>
      </c>
      <c r="F38" s="2">
        <v>1196</v>
      </c>
    </row>
    <row r="40" spans="3:8" ht="12.75">
      <c r="C40" s="4" t="s">
        <v>6</v>
      </c>
      <c r="H40" s="7">
        <f>SUM(F41:F52)</f>
        <v>32404.429999999997</v>
      </c>
    </row>
    <row r="41" spans="4:6" ht="12.75">
      <c r="D41" t="s">
        <v>7</v>
      </c>
      <c r="F41" s="2">
        <v>2071.18</v>
      </c>
    </row>
    <row r="42" spans="4:6" ht="12.75">
      <c r="D42" t="s">
        <v>8</v>
      </c>
      <c r="F42" s="2">
        <v>4718.62</v>
      </c>
    </row>
    <row r="43" spans="4:6" ht="12.75">
      <c r="D43" t="s">
        <v>9</v>
      </c>
      <c r="F43" s="2">
        <v>2226.59</v>
      </c>
    </row>
    <row r="44" spans="4:6" ht="12.75">
      <c r="D44" t="s">
        <v>10</v>
      </c>
      <c r="F44" s="2">
        <v>3655.18</v>
      </c>
    </row>
    <row r="45" spans="4:6" ht="12.75">
      <c r="D45" t="s">
        <v>11</v>
      </c>
      <c r="F45" s="2">
        <v>1750.13</v>
      </c>
    </row>
    <row r="46" spans="4:6" ht="12.75">
      <c r="D46" t="s">
        <v>12</v>
      </c>
      <c r="F46" s="2">
        <v>3377.51</v>
      </c>
    </row>
    <row r="47" spans="4:6" ht="12.75">
      <c r="D47" t="s">
        <v>13</v>
      </c>
      <c r="F47" s="2">
        <v>1535.41</v>
      </c>
    </row>
    <row r="48" spans="4:6" ht="12.75">
      <c r="D48" t="s">
        <v>14</v>
      </c>
      <c r="F48" s="2">
        <v>2589.66</v>
      </c>
    </row>
    <row r="49" spans="4:6" ht="12.75">
      <c r="D49" t="s">
        <v>15</v>
      </c>
      <c r="F49" s="2">
        <v>1530.94</v>
      </c>
    </row>
    <row r="50" spans="4:6" ht="12.75">
      <c r="D50" t="s">
        <v>16</v>
      </c>
      <c r="F50" s="2">
        <v>3220.28</v>
      </c>
    </row>
    <row r="51" spans="4:6" ht="12.75">
      <c r="D51" t="s">
        <v>17</v>
      </c>
      <c r="F51" s="2">
        <v>1885.49</v>
      </c>
    </row>
    <row r="52" spans="4:6" ht="12.75">
      <c r="D52" t="s">
        <v>18</v>
      </c>
      <c r="F52" s="2">
        <v>3843.44</v>
      </c>
    </row>
    <row r="54" spans="3:8" ht="12.75">
      <c r="C54" s="4" t="s">
        <v>19</v>
      </c>
      <c r="H54" s="7">
        <v>1696.83</v>
      </c>
    </row>
    <row r="56" spans="3:8" ht="12.75">
      <c r="C56" s="4" t="s">
        <v>20</v>
      </c>
      <c r="H56" s="7">
        <f>F57+F58</f>
        <v>232714.41999999998</v>
      </c>
    </row>
    <row r="57" spans="4:6" ht="12.75">
      <c r="D57" t="s">
        <v>21</v>
      </c>
      <c r="F57" s="2">
        <v>233341.62</v>
      </c>
    </row>
    <row r="58" spans="4:6" ht="12.75">
      <c r="D58" t="s">
        <v>22</v>
      </c>
      <c r="F58" s="2">
        <v>-627.2</v>
      </c>
    </row>
    <row r="64" spans="3:8" ht="12.75">
      <c r="C64" s="4" t="s">
        <v>23</v>
      </c>
      <c r="H64" s="7">
        <f>SUM(F65:F79)</f>
        <v>120114.00999999998</v>
      </c>
    </row>
    <row r="65" spans="4:6" ht="12.75">
      <c r="D65" t="s">
        <v>45</v>
      </c>
      <c r="F65" s="2">
        <f>7807+7473+12438+6877+7172+7239+7283+6436+7140+8598+6508+11630</f>
        <v>96601</v>
      </c>
    </row>
    <row r="66" spans="4:6" ht="12.75">
      <c r="D66" t="s">
        <v>240</v>
      </c>
      <c r="F66" s="2">
        <v>-38345.25</v>
      </c>
    </row>
    <row r="67" spans="4:6" ht="12.75">
      <c r="D67" t="s">
        <v>46</v>
      </c>
      <c r="F67" s="2">
        <f>1219+1163+1991+1181+1239+1242+1268+1175+1231+1379+1085+1680</f>
        <v>15853</v>
      </c>
    </row>
    <row r="68" spans="4:6" ht="12.75">
      <c r="D68" t="s">
        <v>54</v>
      </c>
      <c r="F68" s="2">
        <v>-5554.34</v>
      </c>
    </row>
    <row r="69" spans="4:6" ht="12.75">
      <c r="D69" t="s">
        <v>47</v>
      </c>
      <c r="F69" s="2">
        <f>1512+1450+1839+1491+1398+1495+1499+1401+1490+1766+1348+1641</f>
        <v>18330</v>
      </c>
    </row>
    <row r="70" spans="4:6" ht="12.75">
      <c r="D70" t="s">
        <v>48</v>
      </c>
      <c r="F70" s="2">
        <f>6792.16+5110.84+5142.01+5356.88</f>
        <v>22401.890000000003</v>
      </c>
    </row>
    <row r="71" spans="4:6" ht="12.75">
      <c r="D71" t="s">
        <v>55</v>
      </c>
      <c r="F71" s="2">
        <v>-8893.27</v>
      </c>
    </row>
    <row r="72" spans="4:6" ht="12.75">
      <c r="D72" t="s">
        <v>49</v>
      </c>
      <c r="F72" s="2">
        <v>946.54</v>
      </c>
    </row>
    <row r="73" spans="4:6" ht="12.75">
      <c r="D73" t="s">
        <v>56</v>
      </c>
      <c r="F73" s="2">
        <v>-410.6</v>
      </c>
    </row>
    <row r="74" spans="4:6" ht="12.75">
      <c r="D74" t="s">
        <v>50</v>
      </c>
      <c r="F74" s="2">
        <f>-27.22+2494.47+27.28+2277.38+2282.18+1694.45</f>
        <v>8748.54</v>
      </c>
    </row>
    <row r="75" spans="4:6" ht="12.75">
      <c r="D75" t="s">
        <v>57</v>
      </c>
      <c r="F75" s="2">
        <v>-2366.27</v>
      </c>
    </row>
    <row r="76" spans="4:6" ht="12.75">
      <c r="D76" t="s">
        <v>52</v>
      </c>
      <c r="F76" s="2">
        <v>3240.04</v>
      </c>
    </row>
    <row r="77" spans="4:6" ht="12.75">
      <c r="D77" t="s">
        <v>53</v>
      </c>
      <c r="F77" s="2">
        <v>566.74</v>
      </c>
    </row>
    <row r="78" spans="4:6" ht="12.75">
      <c r="D78" t="s">
        <v>51</v>
      </c>
      <c r="F78" s="2">
        <f>8347.68+8347.68-119.37</f>
        <v>16575.99</v>
      </c>
    </row>
    <row r="79" spans="4:6" ht="12.75">
      <c r="D79" t="s">
        <v>58</v>
      </c>
      <c r="F79" s="2">
        <v>-7580</v>
      </c>
    </row>
    <row r="81" spans="3:8" ht="12.75">
      <c r="C81" s="4" t="s">
        <v>24</v>
      </c>
      <c r="H81" s="7">
        <f>SUM(F82:F92)</f>
        <v>8209.000000000002</v>
      </c>
    </row>
    <row r="82" spans="4:6" ht="12.75">
      <c r="D82" t="s">
        <v>67</v>
      </c>
      <c r="F82" s="2">
        <f>1238.08+1828.4</f>
        <v>3066.48</v>
      </c>
    </row>
    <row r="83" spans="4:6" ht="12.75">
      <c r="D83" t="s">
        <v>63</v>
      </c>
      <c r="F83" s="2">
        <f>44.8+24.32+21.56+264.23</f>
        <v>354.91</v>
      </c>
    </row>
    <row r="84" spans="4:6" ht="12.75">
      <c r="D84" t="s">
        <v>68</v>
      </c>
      <c r="F84" s="2">
        <v>1656.1</v>
      </c>
    </row>
    <row r="85" spans="4:6" ht="12.75">
      <c r="D85" t="s">
        <v>60</v>
      </c>
      <c r="F85" s="2">
        <f>172.95+55.32</f>
        <v>228.26999999999998</v>
      </c>
    </row>
    <row r="86" spans="4:6" ht="12.75">
      <c r="D86" t="s">
        <v>61</v>
      </c>
      <c r="F86" s="2">
        <v>231.93</v>
      </c>
    </row>
    <row r="87" spans="4:6" ht="12.75">
      <c r="D87" t="s">
        <v>62</v>
      </c>
      <c r="F87" s="2">
        <v>523.8</v>
      </c>
    </row>
    <row r="88" spans="4:6" ht="12.75">
      <c r="D88" t="s">
        <v>66</v>
      </c>
      <c r="F88" s="2">
        <v>153.42</v>
      </c>
    </row>
    <row r="89" spans="4:6" ht="12.75">
      <c r="D89" t="s">
        <v>59</v>
      </c>
      <c r="F89" s="2">
        <f>316.12+227.62+227.82+219.45</f>
        <v>991.01</v>
      </c>
    </row>
    <row r="90" spans="4:6" ht="12.75">
      <c r="D90" t="s">
        <v>64</v>
      </c>
      <c r="F90" s="2">
        <f>136.5+82</f>
        <v>218.5</v>
      </c>
    </row>
    <row r="91" spans="4:6" ht="12.75">
      <c r="D91" t="s">
        <v>65</v>
      </c>
      <c r="F91" s="2">
        <v>598</v>
      </c>
    </row>
    <row r="92" spans="4:6" ht="12.75">
      <c r="D92" t="s">
        <v>69</v>
      </c>
      <c r="F92" s="2">
        <f>37.98+148.6</f>
        <v>186.57999999999998</v>
      </c>
    </row>
    <row r="95" ht="15.75">
      <c r="B95" s="11" t="s">
        <v>25</v>
      </c>
    </row>
    <row r="96" ht="12.75">
      <c r="B96" s="1"/>
    </row>
    <row r="98" spans="3:7" ht="12.75">
      <c r="C98" s="4" t="s">
        <v>70</v>
      </c>
      <c r="G98" s="7">
        <f>SUM(F99:F105)</f>
        <v>21485.28</v>
      </c>
    </row>
    <row r="99" spans="4:6" ht="12.75">
      <c r="D99" t="s">
        <v>26</v>
      </c>
      <c r="F99" s="2">
        <v>0.41</v>
      </c>
    </row>
    <row r="100" spans="4:6" ht="12.75">
      <c r="D100" t="s">
        <v>71</v>
      </c>
      <c r="F100" s="2">
        <f>177.59+203.59+129+391.36</f>
        <v>901.54</v>
      </c>
    </row>
    <row r="101" spans="4:6" ht="12.75">
      <c r="D101" t="s">
        <v>75</v>
      </c>
      <c r="F101" s="2">
        <f>-61.59+-61.59</f>
        <v>-123.18</v>
      </c>
    </row>
    <row r="102" spans="4:6" ht="12.75">
      <c r="D102" t="s">
        <v>72</v>
      </c>
      <c r="F102" s="2">
        <f>619+619+619+619</f>
        <v>2476</v>
      </c>
    </row>
    <row r="103" spans="4:6" ht="12.75">
      <c r="D103" t="s">
        <v>73</v>
      </c>
      <c r="F103" s="2">
        <f>70.06+119+21.53+139+198+144</f>
        <v>691.59</v>
      </c>
    </row>
    <row r="104" spans="4:6" ht="12.75">
      <c r="D104" t="s">
        <v>74</v>
      </c>
      <c r="F104" s="2">
        <f>1881+1820+1820+3017.92</f>
        <v>8538.92</v>
      </c>
    </row>
    <row r="105" spans="4:6" ht="12.75">
      <c r="D105" t="s">
        <v>76</v>
      </c>
      <c r="F105" s="2">
        <v>9000</v>
      </c>
    </row>
    <row r="107" spans="3:7" ht="12.75">
      <c r="C107" s="4" t="s">
        <v>77</v>
      </c>
      <c r="G107" s="7">
        <f>F108+F109</f>
        <v>3089.3900000000003</v>
      </c>
    </row>
    <row r="108" spans="4:6" ht="12.75">
      <c r="D108" t="s">
        <v>78</v>
      </c>
      <c r="F108" s="2">
        <v>1829.39</v>
      </c>
    </row>
    <row r="109" spans="4:6" ht="12.75">
      <c r="D109" t="s">
        <v>241</v>
      </c>
      <c r="F109" s="2">
        <v>1260</v>
      </c>
    </row>
    <row r="111" spans="3:7" ht="12.75">
      <c r="C111" s="4" t="s">
        <v>79</v>
      </c>
      <c r="G111" s="7">
        <f>SUM(F112:F116)</f>
        <v>3062.83</v>
      </c>
    </row>
    <row r="112" spans="4:6" ht="12.75">
      <c r="D112" t="s">
        <v>80</v>
      </c>
      <c r="F112" s="2">
        <f>126.1+556.97</f>
        <v>683.07</v>
      </c>
    </row>
    <row r="113" spans="4:6" ht="12.75">
      <c r="D113" t="s">
        <v>257</v>
      </c>
      <c r="F113" s="2">
        <f>57.1+52+47.7+24.54+41.22+48.29</f>
        <v>270.85</v>
      </c>
    </row>
    <row r="114" spans="4:10" ht="12.75">
      <c r="D114" t="s">
        <v>60</v>
      </c>
      <c r="F114" s="2">
        <v>62.49</v>
      </c>
      <c r="H114" s="1"/>
      <c r="J114" s="2"/>
    </row>
    <row r="115" spans="4:10" ht="12.75">
      <c r="D115" t="s">
        <v>82</v>
      </c>
      <c r="F115" s="2">
        <v>465.24</v>
      </c>
      <c r="H115" s="1"/>
      <c r="J115" s="2"/>
    </row>
    <row r="116" spans="4:10" ht="12.75">
      <c r="D116" t="s">
        <v>81</v>
      </c>
      <c r="F116" s="2">
        <f>1290.58+190.69+99.91</f>
        <v>1581.18</v>
      </c>
      <c r="H116" s="1"/>
      <c r="J116" s="2"/>
    </row>
    <row r="117" spans="8:10" ht="12.75">
      <c r="H117" s="1"/>
      <c r="J117" s="2"/>
    </row>
    <row r="118" spans="3:10" ht="12.75">
      <c r="C118" s="4" t="s">
        <v>83</v>
      </c>
      <c r="G118" s="7">
        <f>F119+F120</f>
        <v>4649</v>
      </c>
      <c r="H118" s="1"/>
      <c r="J118" s="2"/>
    </row>
    <row r="119" spans="4:10" ht="12.75">
      <c r="D119" t="s">
        <v>84</v>
      </c>
      <c r="F119" s="2">
        <v>703</v>
      </c>
      <c r="H119" s="1"/>
      <c r="J119" s="2"/>
    </row>
    <row r="120" spans="4:10" ht="12.75">
      <c r="D120" t="s">
        <v>242</v>
      </c>
      <c r="F120" s="2">
        <v>3946</v>
      </c>
      <c r="H120" s="1"/>
      <c r="J120" s="2"/>
    </row>
    <row r="121" spans="8:10" ht="12.75">
      <c r="H121" s="1"/>
      <c r="J121" s="2"/>
    </row>
    <row r="122" spans="8:10" ht="12.75">
      <c r="H122" s="1"/>
      <c r="J122" s="2"/>
    </row>
    <row r="123" spans="2:10" ht="15.75">
      <c r="B123" s="11" t="s">
        <v>85</v>
      </c>
      <c r="H123" s="1"/>
      <c r="J123" s="2"/>
    </row>
    <row r="124" spans="2:10" ht="12.75">
      <c r="B124" s="1"/>
      <c r="H124" s="1"/>
      <c r="J124" s="2"/>
    </row>
    <row r="125" spans="8:10" ht="12.75">
      <c r="H125" s="1"/>
      <c r="J125" s="2"/>
    </row>
    <row r="126" spans="3:10" ht="12.75">
      <c r="C126" s="4" t="s">
        <v>86</v>
      </c>
      <c r="G126" s="7">
        <f>SUM(F127:F131)</f>
        <v>2067.68</v>
      </c>
      <c r="H126" s="1"/>
      <c r="J126" s="2"/>
    </row>
    <row r="127" spans="4:10" ht="12.75">
      <c r="D127" t="s">
        <v>26</v>
      </c>
      <c r="F127" s="2">
        <v>0.78</v>
      </c>
      <c r="H127" s="1"/>
      <c r="J127" s="2"/>
    </row>
    <row r="128" spans="4:10" ht="12.75">
      <c r="D128" t="s">
        <v>88</v>
      </c>
      <c r="F128" s="2">
        <v>1307.92</v>
      </c>
      <c r="H128" s="1"/>
      <c r="J128" s="2"/>
    </row>
    <row r="129" spans="4:10" ht="12.75">
      <c r="D129" t="s">
        <v>114</v>
      </c>
      <c r="F129" s="2">
        <f>80+89</f>
        <v>169</v>
      </c>
      <c r="H129" s="1"/>
      <c r="J129" s="2"/>
    </row>
    <row r="130" spans="4:10" ht="12.75">
      <c r="D130" t="s">
        <v>122</v>
      </c>
      <c r="F130" s="2">
        <f>279.64+214.28</f>
        <v>493.91999999999996</v>
      </c>
      <c r="H130" s="1"/>
      <c r="J130" s="2"/>
    </row>
    <row r="131" spans="4:10" ht="12.75">
      <c r="D131" t="s">
        <v>89</v>
      </c>
      <c r="F131" s="2">
        <v>96.06</v>
      </c>
      <c r="H131" s="1"/>
      <c r="J131" s="2"/>
    </row>
    <row r="132" spans="8:10" ht="12.75">
      <c r="H132" s="1"/>
      <c r="J132" s="2"/>
    </row>
    <row r="133" spans="3:7" ht="12.75">
      <c r="C133" s="4" t="s">
        <v>90</v>
      </c>
      <c r="G133" s="7">
        <f>SUM(F134:F137)</f>
        <v>7607.92</v>
      </c>
    </row>
    <row r="134" spans="4:6" ht="12.75">
      <c r="D134" t="s">
        <v>258</v>
      </c>
      <c r="F134" s="2">
        <f>390+298.33</f>
        <v>688.3299999999999</v>
      </c>
    </row>
    <row r="135" spans="4:6" ht="12.75">
      <c r="D135" t="s">
        <v>225</v>
      </c>
      <c r="F135" s="2">
        <f>160.61+530.5</f>
        <v>691.11</v>
      </c>
    </row>
    <row r="136" spans="4:6" ht="12.75">
      <c r="D136" t="s">
        <v>92</v>
      </c>
      <c r="F136" s="2">
        <v>1351.48</v>
      </c>
    </row>
    <row r="137" spans="4:6" ht="12.75">
      <c r="D137" t="s">
        <v>226</v>
      </c>
      <c r="F137" s="2">
        <f>2714.92+2162.08</f>
        <v>4877</v>
      </c>
    </row>
    <row r="139" spans="3:7" ht="12.75">
      <c r="C139" s="4" t="s">
        <v>93</v>
      </c>
      <c r="G139" s="7">
        <f>F140+F141</f>
        <v>3543.8</v>
      </c>
    </row>
    <row r="140" spans="4:6" ht="12.75">
      <c r="D140" t="s">
        <v>95</v>
      </c>
      <c r="F140" s="2">
        <v>3157.44</v>
      </c>
    </row>
    <row r="141" spans="4:6" ht="12.75">
      <c r="D141" t="s">
        <v>94</v>
      </c>
      <c r="F141" s="2">
        <v>386.36</v>
      </c>
    </row>
    <row r="143" spans="3:7" ht="12.75">
      <c r="C143" s="4" t="s">
        <v>96</v>
      </c>
      <c r="G143" s="7">
        <f>F144+F145+F146</f>
        <v>2032.9699999999998</v>
      </c>
    </row>
    <row r="144" spans="4:6" ht="12.75">
      <c r="D144" t="s">
        <v>97</v>
      </c>
      <c r="F144" s="2">
        <v>693.15</v>
      </c>
    </row>
    <row r="145" spans="4:6" ht="12.75">
      <c r="D145" t="s">
        <v>228</v>
      </c>
      <c r="F145" s="2">
        <f>752.28+587.54+803.71</f>
        <v>2143.5299999999997</v>
      </c>
    </row>
    <row r="146" spans="4:6" ht="12.75">
      <c r="D146" t="s">
        <v>227</v>
      </c>
      <c r="F146" s="2">
        <v>-803.71</v>
      </c>
    </row>
    <row r="148" spans="3:7" ht="12.75">
      <c r="C148" s="4" t="s">
        <v>98</v>
      </c>
      <c r="G148" s="7">
        <f>SUM(F149:F152)</f>
        <v>1914.44</v>
      </c>
    </row>
    <row r="149" spans="4:6" ht="12.75">
      <c r="D149" t="s">
        <v>99</v>
      </c>
      <c r="F149" s="2">
        <v>127.3</v>
      </c>
    </row>
    <row r="150" spans="4:6" ht="12.75">
      <c r="D150" t="s">
        <v>229</v>
      </c>
      <c r="F150" s="2">
        <f>350.86+394.97+159.55</f>
        <v>905.3800000000001</v>
      </c>
    </row>
    <row r="151" spans="4:6" ht="12.75">
      <c r="D151" t="s">
        <v>92</v>
      </c>
      <c r="F151" s="2">
        <v>769.46</v>
      </c>
    </row>
    <row r="152" spans="4:6" ht="12.75">
      <c r="D152" t="s">
        <v>100</v>
      </c>
      <c r="F152" s="2">
        <v>112.3</v>
      </c>
    </row>
    <row r="154" spans="3:8" ht="12.75">
      <c r="C154" s="4" t="s">
        <v>101</v>
      </c>
      <c r="H154" s="7">
        <f>SUM(F155:F160)</f>
        <v>13175.68</v>
      </c>
    </row>
    <row r="155" spans="4:6" ht="12.75">
      <c r="D155" t="s">
        <v>102</v>
      </c>
      <c r="F155" s="2">
        <v>949.51</v>
      </c>
    </row>
    <row r="156" spans="4:6" ht="12.75">
      <c r="D156" t="s">
        <v>259</v>
      </c>
      <c r="F156" s="2">
        <f>71.84+89.3+206.1+169.83+422.1+167.5+1433.88+414.6+205.3</f>
        <v>3180.4500000000003</v>
      </c>
    </row>
    <row r="157" spans="4:6" ht="12.75">
      <c r="D157" t="s">
        <v>232</v>
      </c>
      <c r="F157" s="2">
        <v>45</v>
      </c>
    </row>
    <row r="158" spans="4:6" ht="12.75">
      <c r="D158" t="s">
        <v>230</v>
      </c>
      <c r="F158" s="2">
        <f>2710.95+763.4</f>
        <v>3474.35</v>
      </c>
    </row>
    <row r="159" spans="4:6" ht="12.75">
      <c r="D159" t="s">
        <v>104</v>
      </c>
      <c r="F159" s="2">
        <v>1541.09</v>
      </c>
    </row>
    <row r="160" spans="4:6" ht="12.75">
      <c r="D160" t="s">
        <v>231</v>
      </c>
      <c r="F160" s="2">
        <f>968.16+581.36+297.59+177.24+239.18+30.6+283.27+748.84+310.8+348.24</f>
        <v>3985.2799999999997</v>
      </c>
    </row>
    <row r="162" spans="3:8" ht="12.75">
      <c r="C162" s="4" t="s">
        <v>251</v>
      </c>
      <c r="H162" s="7">
        <f>SUM(F163:F167)</f>
        <v>5635.58</v>
      </c>
    </row>
    <row r="163" spans="4:6" ht="12.75">
      <c r="D163" t="s">
        <v>107</v>
      </c>
      <c r="F163" s="2">
        <v>470.46</v>
      </c>
    </row>
    <row r="164" spans="4:6" ht="12.75">
      <c r="D164" t="s">
        <v>108</v>
      </c>
      <c r="F164" s="2">
        <v>42.2</v>
      </c>
    </row>
    <row r="165" spans="4:6" ht="12.75">
      <c r="D165" t="s">
        <v>233</v>
      </c>
      <c r="F165" s="2">
        <f>2924.94+1854.45</f>
        <v>4779.39</v>
      </c>
    </row>
    <row r="166" spans="4:6" ht="12.75">
      <c r="D166" t="s">
        <v>114</v>
      </c>
      <c r="F166" s="2">
        <f>74.73+81.01</f>
        <v>155.74</v>
      </c>
    </row>
    <row r="167" spans="4:6" ht="12.75">
      <c r="D167" t="s">
        <v>106</v>
      </c>
      <c r="F167" s="2">
        <v>187.79</v>
      </c>
    </row>
    <row r="169" ht="12.75">
      <c r="C169" s="4" t="s">
        <v>109</v>
      </c>
    </row>
    <row r="170" spans="4:8" ht="12.75">
      <c r="D170" t="s">
        <v>234</v>
      </c>
      <c r="H170" s="7">
        <v>837.79</v>
      </c>
    </row>
    <row r="172" spans="3:8" ht="12.75">
      <c r="C172" s="4" t="s">
        <v>96</v>
      </c>
      <c r="H172" s="7">
        <f>SUM(F173:F176)</f>
        <v>6034.21</v>
      </c>
    </row>
    <row r="173" spans="4:6" ht="12.75">
      <c r="D173" t="s">
        <v>112</v>
      </c>
      <c r="F173" s="2">
        <f>545.26+35.33+66.16+129.77+149.15+595.13+27.94+223.41</f>
        <v>1772.15</v>
      </c>
    </row>
    <row r="174" spans="4:6" ht="12.75">
      <c r="D174" t="s">
        <v>97</v>
      </c>
      <c r="F174" s="2">
        <v>694.88</v>
      </c>
    </row>
    <row r="175" spans="4:6" ht="12.75">
      <c r="D175" t="s">
        <v>87</v>
      </c>
      <c r="F175" s="2">
        <v>116.39</v>
      </c>
    </row>
    <row r="176" spans="4:6" ht="12.75">
      <c r="D176" t="s">
        <v>111</v>
      </c>
      <c r="F176" s="2">
        <f>865.68+107.02+2460.03+18.06</f>
        <v>3450.79</v>
      </c>
    </row>
    <row r="178" spans="3:8" ht="12.75">
      <c r="C178" s="4" t="s">
        <v>113</v>
      </c>
      <c r="H178" s="7">
        <f>F179+F180</f>
        <v>779.1299999999999</v>
      </c>
    </row>
    <row r="179" spans="4:6" ht="12.75">
      <c r="D179" t="s">
        <v>114</v>
      </c>
      <c r="F179" s="2">
        <f>25.95+241.89</f>
        <v>267.84</v>
      </c>
    </row>
    <row r="180" spans="4:6" ht="12.75">
      <c r="D180" t="s">
        <v>115</v>
      </c>
      <c r="F180" s="2">
        <f>34.12+72.21+158.45+246.51</f>
        <v>511.28999999999996</v>
      </c>
    </row>
    <row r="182" ht="12.75">
      <c r="C182" s="4" t="s">
        <v>116</v>
      </c>
    </row>
    <row r="183" spans="4:8" ht="12.75">
      <c r="D183" t="s">
        <v>117</v>
      </c>
      <c r="H183" s="7">
        <v>2315.64</v>
      </c>
    </row>
    <row r="185" spans="3:8" ht="12.75">
      <c r="C185" s="4" t="s">
        <v>118</v>
      </c>
      <c r="H185" s="7">
        <f>SUM(F186:F190)</f>
        <v>1682.5399999999997</v>
      </c>
    </row>
    <row r="186" spans="4:6" ht="12.75">
      <c r="D186" t="s">
        <v>119</v>
      </c>
      <c r="F186" s="2">
        <f>18.69+36.56+37.38+18.69</f>
        <v>111.32</v>
      </c>
    </row>
    <row r="187" spans="4:6" ht="12.75">
      <c r="D187" t="s">
        <v>121</v>
      </c>
      <c r="F187" s="2">
        <f>34.58+24.7</f>
        <v>59.28</v>
      </c>
    </row>
    <row r="188" spans="4:6" ht="12.75">
      <c r="D188" t="s">
        <v>87</v>
      </c>
      <c r="F188" s="2">
        <v>26.5</v>
      </c>
    </row>
    <row r="189" spans="4:6" ht="12.75">
      <c r="D189" t="s">
        <v>122</v>
      </c>
      <c r="F189" s="2">
        <f>549.44+518.39</f>
        <v>1067.83</v>
      </c>
    </row>
    <row r="190" spans="4:6" ht="12.75">
      <c r="D190" t="s">
        <v>120</v>
      </c>
      <c r="F190" s="2">
        <f>93.83+42.53+26.47+26.47+163.73+64.58</f>
        <v>417.60999999999996</v>
      </c>
    </row>
    <row r="192" spans="3:8" ht="12.75">
      <c r="C192" s="4" t="s">
        <v>98</v>
      </c>
      <c r="H192" s="7">
        <f>SUM(F193:F200)</f>
        <v>3006.7200000000003</v>
      </c>
    </row>
    <row r="193" spans="4:6" ht="12.75">
      <c r="D193" t="s">
        <v>128</v>
      </c>
      <c r="F193" s="2">
        <v>51.97</v>
      </c>
    </row>
    <row r="194" spans="4:6" ht="12.75">
      <c r="D194" t="s">
        <v>123</v>
      </c>
      <c r="F194" s="2">
        <f>30.09+49.66+84.04+29.75+108.08+167.98+242.95+69.07+34.4+58.09+123.65+57.18+65.44+74.25+38.17+71.21+15.66+205.86</f>
        <v>1525.5300000000002</v>
      </c>
    </row>
    <row r="195" spans="4:6" ht="12.75">
      <c r="D195" t="s">
        <v>127</v>
      </c>
      <c r="F195" s="2">
        <v>176.02</v>
      </c>
    </row>
    <row r="196" spans="4:6" ht="12.75">
      <c r="D196" t="s">
        <v>122</v>
      </c>
      <c r="F196" s="2">
        <f>69.85+210.69</f>
        <v>280.53999999999996</v>
      </c>
    </row>
    <row r="197" spans="4:6" ht="12.75">
      <c r="D197" t="s">
        <v>92</v>
      </c>
      <c r="F197" s="2">
        <v>478.89</v>
      </c>
    </row>
    <row r="198" spans="4:6" ht="12.75">
      <c r="D198" t="s">
        <v>126</v>
      </c>
      <c r="F198" s="2">
        <v>8</v>
      </c>
    </row>
    <row r="199" spans="4:6" ht="12.75">
      <c r="D199" t="s">
        <v>125</v>
      </c>
      <c r="F199" s="2">
        <v>228.99</v>
      </c>
    </row>
    <row r="200" spans="4:6" ht="12.75">
      <c r="D200" t="s">
        <v>124</v>
      </c>
      <c r="F200" s="2">
        <f>101.97+42.31+112.5</f>
        <v>256.78</v>
      </c>
    </row>
    <row r="203" ht="15.75">
      <c r="B203" s="11" t="s">
        <v>129</v>
      </c>
    </row>
    <row r="204" ht="12.75">
      <c r="B204" s="1"/>
    </row>
    <row r="206" spans="3:7" ht="12.75">
      <c r="C206" s="4" t="s">
        <v>252</v>
      </c>
      <c r="G206" s="7">
        <f>SUM(F207:F211)</f>
        <v>6198.4800000000005</v>
      </c>
    </row>
    <row r="207" spans="4:6" ht="12.75">
      <c r="D207" t="s">
        <v>26</v>
      </c>
      <c r="F207" s="2">
        <v>0.96</v>
      </c>
    </row>
    <row r="208" spans="4:6" ht="12.75">
      <c r="D208" t="s">
        <v>132</v>
      </c>
      <c r="F208" s="2">
        <v>124.06</v>
      </c>
    </row>
    <row r="209" spans="4:6" ht="12.75">
      <c r="D209" t="s">
        <v>131</v>
      </c>
      <c r="F209" s="2">
        <v>5960.08</v>
      </c>
    </row>
    <row r="210" spans="4:6" ht="12.75">
      <c r="D210" t="s">
        <v>130</v>
      </c>
      <c r="F210" s="2">
        <v>70.1</v>
      </c>
    </row>
    <row r="211" spans="4:6" ht="12.75">
      <c r="D211" t="s">
        <v>243</v>
      </c>
      <c r="F211" s="2">
        <v>43.28</v>
      </c>
    </row>
    <row r="213" spans="3:7" ht="12.75">
      <c r="C213" s="4" t="s">
        <v>133</v>
      </c>
      <c r="G213" s="7">
        <f>SUM(F214:F218)</f>
        <v>20000</v>
      </c>
    </row>
    <row r="214" spans="4:6" ht="12.75">
      <c r="D214" t="s">
        <v>260</v>
      </c>
      <c r="F214" s="2">
        <v>362.84</v>
      </c>
    </row>
    <row r="215" spans="4:6" ht="12.75">
      <c r="D215" t="s">
        <v>136</v>
      </c>
      <c r="F215" s="2">
        <f>179+13.9</f>
        <v>192.9</v>
      </c>
    </row>
    <row r="216" spans="4:6" ht="12.75">
      <c r="D216" t="s">
        <v>135</v>
      </c>
      <c r="F216" s="2">
        <v>337.2</v>
      </c>
    </row>
    <row r="217" spans="4:6" ht="12.75">
      <c r="D217" t="s">
        <v>134</v>
      </c>
      <c r="F217" s="2">
        <f>9368.27+1250+1300.77</f>
        <v>11919.04</v>
      </c>
    </row>
    <row r="218" spans="4:6" ht="12.75">
      <c r="D218" t="s">
        <v>137</v>
      </c>
      <c r="F218" s="2">
        <v>7188.02</v>
      </c>
    </row>
    <row r="220" spans="3:8" ht="12.75">
      <c r="C220" s="4" t="s">
        <v>138</v>
      </c>
      <c r="H220" s="7">
        <f>SUM(F221:F223)</f>
        <v>5809.169999999999</v>
      </c>
    </row>
    <row r="221" spans="4:6" ht="12.75">
      <c r="D221" t="s">
        <v>141</v>
      </c>
      <c r="F221" s="2">
        <f>368.07+387.3+439.5+612.91+516.83+383.03+391.52+666.26</f>
        <v>3765.419999999999</v>
      </c>
    </row>
    <row r="222" spans="4:6" ht="12.75">
      <c r="D222" t="s">
        <v>139</v>
      </c>
      <c r="F222" s="2">
        <v>147.11</v>
      </c>
    </row>
    <row r="223" spans="4:6" ht="12.75">
      <c r="D223" t="s">
        <v>140</v>
      </c>
      <c r="F223" s="2">
        <f>221.24+528.57+484.27+662.56</f>
        <v>1896.6399999999999</v>
      </c>
    </row>
    <row r="225" spans="3:8" ht="12.75">
      <c r="C225" s="4" t="s">
        <v>142</v>
      </c>
      <c r="H225" s="7">
        <f>SUM(F226:F240)</f>
        <v>3947.4899999999993</v>
      </c>
    </row>
    <row r="226" spans="4:6" ht="12.75">
      <c r="D226" t="s">
        <v>151</v>
      </c>
      <c r="F226" s="2">
        <v>12.7</v>
      </c>
    </row>
    <row r="227" spans="4:6" ht="12.75">
      <c r="D227" t="s">
        <v>156</v>
      </c>
      <c r="F227" s="2">
        <v>254</v>
      </c>
    </row>
    <row r="228" spans="4:6" ht="12.75">
      <c r="D228" t="s">
        <v>147</v>
      </c>
      <c r="F228" s="2">
        <f>20.94+389.49+20.33+24.61+21.05+19.65+31.41+10.33+219.19</f>
        <v>757</v>
      </c>
    </row>
    <row r="229" spans="4:6" ht="12.75">
      <c r="D229" t="s">
        <v>149</v>
      </c>
      <c r="F229" s="2">
        <v>33</v>
      </c>
    </row>
    <row r="230" spans="4:6" ht="12.75">
      <c r="D230" t="s">
        <v>150</v>
      </c>
      <c r="F230" s="2">
        <v>6</v>
      </c>
    </row>
    <row r="231" spans="4:6" ht="12.75">
      <c r="D231" t="s">
        <v>152</v>
      </c>
      <c r="F231" s="2">
        <f>102.39+300.17</f>
        <v>402.56</v>
      </c>
    </row>
    <row r="232" spans="4:6" ht="12.75">
      <c r="D232" t="s">
        <v>148</v>
      </c>
      <c r="F232" s="2">
        <v>90.7</v>
      </c>
    </row>
    <row r="233" spans="4:6" ht="12.75">
      <c r="D233" t="s">
        <v>143</v>
      </c>
      <c r="F233" s="2">
        <f>101.66+89.93</f>
        <v>191.59</v>
      </c>
    </row>
    <row r="234" spans="4:6" ht="12.75">
      <c r="D234" t="s">
        <v>146</v>
      </c>
      <c r="F234" s="2">
        <v>167</v>
      </c>
    </row>
    <row r="235" spans="4:6" ht="12.75">
      <c r="D235" t="s">
        <v>157</v>
      </c>
      <c r="F235" s="2">
        <f>373.83+963.27</f>
        <v>1337.1</v>
      </c>
    </row>
    <row r="236" spans="4:6" ht="12.75">
      <c r="D236" t="s">
        <v>145</v>
      </c>
      <c r="F236" s="2">
        <f>73.9+201.2</f>
        <v>275.1</v>
      </c>
    </row>
    <row r="237" spans="4:6" ht="12.75">
      <c r="D237" t="s">
        <v>154</v>
      </c>
      <c r="F237" s="2">
        <v>53.7</v>
      </c>
    </row>
    <row r="238" spans="4:6" ht="12.75">
      <c r="D238" t="s">
        <v>153</v>
      </c>
      <c r="F238" s="2">
        <f>50.42+253.22</f>
        <v>303.64</v>
      </c>
    </row>
    <row r="239" spans="4:6" ht="12.75">
      <c r="D239" t="s">
        <v>155</v>
      </c>
      <c r="F239" s="2">
        <v>33</v>
      </c>
    </row>
    <row r="240" spans="4:6" ht="12.75">
      <c r="D240" t="s">
        <v>144</v>
      </c>
      <c r="F240" s="2">
        <f>15.2+15.2</f>
        <v>30.4</v>
      </c>
    </row>
    <row r="243" ht="15.75">
      <c r="B243" s="11" t="s">
        <v>158</v>
      </c>
    </row>
    <row r="244" ht="12.75">
      <c r="B244" s="1"/>
    </row>
    <row r="246" spans="3:7" ht="12.75">
      <c r="C246" s="4" t="s">
        <v>253</v>
      </c>
      <c r="G246" s="7">
        <f>F247+F248</f>
        <v>3243.98</v>
      </c>
    </row>
    <row r="247" spans="4:6" ht="12.75">
      <c r="D247" t="s">
        <v>26</v>
      </c>
      <c r="F247" s="2">
        <v>0.86</v>
      </c>
    </row>
    <row r="248" spans="4:6" ht="12.75">
      <c r="D248" t="s">
        <v>91</v>
      </c>
      <c r="F248" s="2">
        <v>3243.12</v>
      </c>
    </row>
    <row r="250" spans="3:7" ht="12.75">
      <c r="C250" s="4" t="s">
        <v>159</v>
      </c>
      <c r="G250" s="7">
        <f>F251+F252</f>
        <v>1350.44</v>
      </c>
    </row>
    <row r="251" spans="4:6" ht="12.75">
      <c r="D251" t="s">
        <v>160</v>
      </c>
      <c r="F251" s="2">
        <f>275.98+147.43+158.99</f>
        <v>582.4000000000001</v>
      </c>
    </row>
    <row r="252" spans="4:6" ht="12.75">
      <c r="D252" t="s">
        <v>161</v>
      </c>
      <c r="F252" s="2">
        <f>177.24+590.8</f>
        <v>768.04</v>
      </c>
    </row>
    <row r="254" spans="3:7" ht="12.75">
      <c r="C254" s="4" t="s">
        <v>162</v>
      </c>
      <c r="G254" s="7">
        <v>1196</v>
      </c>
    </row>
    <row r="255" ht="12.75">
      <c r="D255" t="s">
        <v>163</v>
      </c>
    </row>
    <row r="257" spans="3:7" ht="12.75">
      <c r="C257" s="4" t="s">
        <v>164</v>
      </c>
      <c r="G257" s="7">
        <f>F258+F259</f>
        <v>297.22</v>
      </c>
    </row>
    <row r="258" spans="4:6" ht="12.75">
      <c r="D258" t="s">
        <v>165</v>
      </c>
      <c r="F258" s="2">
        <v>132.04</v>
      </c>
    </row>
    <row r="259" spans="4:6" ht="12.75">
      <c r="D259" t="s">
        <v>114</v>
      </c>
      <c r="F259" s="2">
        <f>76.73+88.45</f>
        <v>165.18</v>
      </c>
    </row>
    <row r="261" spans="3:8" ht="12.75">
      <c r="C261" s="4" t="s">
        <v>166</v>
      </c>
      <c r="H261" s="7">
        <v>13789.43</v>
      </c>
    </row>
    <row r="262" ht="12.75">
      <c r="D262" t="s">
        <v>167</v>
      </c>
    </row>
    <row r="264" spans="3:8" ht="12.75">
      <c r="C264" s="4" t="s">
        <v>168</v>
      </c>
      <c r="H264" s="7">
        <f>F265+F266</f>
        <v>1020.2300000000001</v>
      </c>
    </row>
    <row r="265" spans="4:6" ht="12.75">
      <c r="D265" t="s">
        <v>170</v>
      </c>
      <c r="F265" s="2">
        <v>161.58</v>
      </c>
    </row>
    <row r="266" spans="4:6" ht="12.75">
      <c r="D266" t="s">
        <v>169</v>
      </c>
      <c r="F266" s="2">
        <f>548.48+310.17</f>
        <v>858.6500000000001</v>
      </c>
    </row>
    <row r="268" spans="3:8" ht="12.75">
      <c r="C268" s="4" t="s">
        <v>171</v>
      </c>
      <c r="H268" s="7">
        <f>SUM(F269:F272)</f>
        <v>3617.27</v>
      </c>
    </row>
    <row r="269" spans="4:6" ht="12.75">
      <c r="D269" t="s">
        <v>110</v>
      </c>
      <c r="F269" s="2">
        <v>649.91</v>
      </c>
    </row>
    <row r="270" spans="4:6" ht="12.75">
      <c r="D270" t="s">
        <v>173</v>
      </c>
      <c r="F270" s="2">
        <f>267.58+358.61+460+1730.2</f>
        <v>2816.3900000000003</v>
      </c>
    </row>
    <row r="271" spans="4:6" ht="12.75">
      <c r="D271" t="s">
        <v>172</v>
      </c>
      <c r="F271" s="2">
        <f>23.69+23.61+7.13</f>
        <v>54.43</v>
      </c>
    </row>
    <row r="272" spans="4:6" ht="12.75">
      <c r="D272" t="s">
        <v>89</v>
      </c>
      <c r="F272" s="2">
        <v>96.54</v>
      </c>
    </row>
    <row r="274" spans="3:8" ht="12.75">
      <c r="C274" s="4" t="s">
        <v>174</v>
      </c>
      <c r="H274" s="7">
        <f>SUM(F275:F277)</f>
        <v>1843.15</v>
      </c>
    </row>
    <row r="275" spans="4:6" ht="12.75">
      <c r="D275" t="s">
        <v>176</v>
      </c>
      <c r="F275" s="2">
        <v>851.43</v>
      </c>
    </row>
    <row r="276" spans="4:6" ht="12.75">
      <c r="D276" t="s">
        <v>175</v>
      </c>
      <c r="F276" s="2">
        <v>22.96</v>
      </c>
    </row>
    <row r="277" spans="4:6" ht="12.75">
      <c r="D277" t="s">
        <v>92</v>
      </c>
      <c r="F277" s="2">
        <v>968.76</v>
      </c>
    </row>
    <row r="279" spans="3:8" ht="12.75">
      <c r="C279" s="4" t="s">
        <v>177</v>
      </c>
      <c r="H279" s="7">
        <v>5017.76</v>
      </c>
    </row>
    <row r="280" ht="12.75">
      <c r="D280" t="s">
        <v>178</v>
      </c>
    </row>
    <row r="282" spans="3:8" ht="12.75">
      <c r="C282" s="4" t="s">
        <v>164</v>
      </c>
      <c r="H282" s="7">
        <f>SUM(F283:F292)</f>
        <v>3488.2699999999995</v>
      </c>
    </row>
    <row r="283" spans="4:6" ht="12.75">
      <c r="D283" t="s">
        <v>182</v>
      </c>
      <c r="F283" s="2">
        <v>843.43</v>
      </c>
    </row>
    <row r="284" spans="4:6" ht="12.75">
      <c r="D284" t="s">
        <v>183</v>
      </c>
      <c r="F284" s="2">
        <v>562.25</v>
      </c>
    </row>
    <row r="285" spans="4:6" ht="12.75">
      <c r="D285" t="s">
        <v>181</v>
      </c>
      <c r="F285" s="2">
        <v>403.16</v>
      </c>
    </row>
    <row r="286" spans="4:6" ht="12.75">
      <c r="D286" t="s">
        <v>180</v>
      </c>
      <c r="F286" s="2">
        <f>129.11+57.4</f>
        <v>186.51000000000002</v>
      </c>
    </row>
    <row r="287" spans="4:6" ht="12.75">
      <c r="D287" t="s">
        <v>179</v>
      </c>
      <c r="F287" s="2">
        <f>92.8+80.9+43.3+40.32+37.58+54.99+22.5</f>
        <v>372.39</v>
      </c>
    </row>
    <row r="288" spans="4:6" ht="12.75">
      <c r="D288" t="s">
        <v>184</v>
      </c>
      <c r="F288" s="2">
        <f>100.75+368.37</f>
        <v>469.12</v>
      </c>
    </row>
    <row r="289" spans="4:6" ht="12.75">
      <c r="D289" t="s">
        <v>185</v>
      </c>
      <c r="F289" s="2">
        <v>26.5</v>
      </c>
    </row>
    <row r="290" spans="4:6" ht="12.75">
      <c r="D290" t="s">
        <v>125</v>
      </c>
      <c r="F290" s="2">
        <v>7.75</v>
      </c>
    </row>
    <row r="291" spans="4:6" ht="12.75">
      <c r="D291" t="s">
        <v>124</v>
      </c>
      <c r="F291" s="2">
        <f>43.33+55.05+146.33</f>
        <v>244.71</v>
      </c>
    </row>
    <row r="292" spans="4:6" ht="12.75">
      <c r="D292" t="s">
        <v>91</v>
      </c>
      <c r="F292" s="2">
        <v>372.45</v>
      </c>
    </row>
    <row r="295" ht="15.75">
      <c r="B295" s="11" t="s">
        <v>186</v>
      </c>
    </row>
    <row r="296" ht="12.75">
      <c r="B296" s="1"/>
    </row>
    <row r="298" spans="3:7" ht="12.75">
      <c r="C298" s="4" t="s">
        <v>187</v>
      </c>
      <c r="G298" s="7">
        <f>F299+F300</f>
        <v>1956.94</v>
      </c>
    </row>
    <row r="299" spans="4:6" ht="12.75">
      <c r="D299" t="s">
        <v>26</v>
      </c>
      <c r="F299" s="2">
        <v>0.88</v>
      </c>
    </row>
    <row r="300" spans="4:6" ht="12.75">
      <c r="D300" t="s">
        <v>188</v>
      </c>
      <c r="F300" s="2">
        <v>1956.06</v>
      </c>
    </row>
    <row r="302" spans="3:7" ht="12.75">
      <c r="C302" s="4" t="s">
        <v>189</v>
      </c>
      <c r="G302" s="7">
        <v>3199.19</v>
      </c>
    </row>
    <row r="303" ht="12.75">
      <c r="D303" t="s">
        <v>91</v>
      </c>
    </row>
    <row r="305" spans="3:7" ht="12.75">
      <c r="C305" s="4" t="s">
        <v>190</v>
      </c>
      <c r="G305" s="7">
        <f>F306+F307</f>
        <v>5127.6900000000005</v>
      </c>
    </row>
    <row r="306" spans="4:6" ht="12.75">
      <c r="D306" t="s">
        <v>191</v>
      </c>
      <c r="F306" s="2">
        <f>845.12+782.36+1389.27</f>
        <v>3016.75</v>
      </c>
    </row>
    <row r="307" spans="4:6" ht="12.75">
      <c r="D307" t="s">
        <v>175</v>
      </c>
      <c r="F307" s="2">
        <v>2110.94</v>
      </c>
    </row>
    <row r="309" spans="3:7" ht="12.75">
      <c r="C309" s="4" t="s">
        <v>244</v>
      </c>
      <c r="G309" s="7">
        <f>SUM(F310:F313)</f>
        <v>6694.58</v>
      </c>
    </row>
    <row r="310" spans="4:6" ht="12.75">
      <c r="D310" t="s">
        <v>193</v>
      </c>
      <c r="F310" s="2">
        <f>1552.53+1504.66</f>
        <v>3057.19</v>
      </c>
    </row>
    <row r="311" spans="4:6" ht="12.75">
      <c r="D311" t="s">
        <v>111</v>
      </c>
      <c r="F311" s="2">
        <f>878.92+398.89+103.99+2509.35</f>
        <v>3891.1499999999996</v>
      </c>
    </row>
    <row r="312" spans="4:6" ht="12.75">
      <c r="D312" t="s">
        <v>192</v>
      </c>
      <c r="F312" s="2">
        <v>258.48</v>
      </c>
    </row>
    <row r="313" spans="4:6" ht="12.75">
      <c r="D313" t="s">
        <v>254</v>
      </c>
      <c r="F313" s="2">
        <f>-253.76+-258.48</f>
        <v>-512.24</v>
      </c>
    </row>
    <row r="315" spans="3:7" ht="12.75">
      <c r="C315" s="4" t="s">
        <v>194</v>
      </c>
      <c r="G315" s="7">
        <f>SUM(F316:F318)</f>
        <v>1641.1799999999998</v>
      </c>
    </row>
    <row r="316" spans="4:6" ht="12.75">
      <c r="D316" t="s">
        <v>105</v>
      </c>
      <c r="F316" s="2">
        <v>220.5</v>
      </c>
    </row>
    <row r="317" spans="4:6" ht="12.75">
      <c r="D317" t="s">
        <v>106</v>
      </c>
      <c r="F317" s="2">
        <v>807.08</v>
      </c>
    </row>
    <row r="318" spans="4:6" ht="12.75">
      <c r="D318" t="s">
        <v>195</v>
      </c>
      <c r="F318" s="2">
        <v>613.6</v>
      </c>
    </row>
    <row r="320" spans="3:7" ht="12.75">
      <c r="C320" s="4" t="s">
        <v>196</v>
      </c>
      <c r="G320" s="7">
        <f>SUM(F321:F323)</f>
        <v>4882.22</v>
      </c>
    </row>
    <row r="321" spans="4:6" ht="12.75">
      <c r="D321" t="s">
        <v>183</v>
      </c>
      <c r="F321" s="2">
        <v>837.2</v>
      </c>
    </row>
    <row r="322" spans="4:6" ht="12.75">
      <c r="D322" t="s">
        <v>92</v>
      </c>
      <c r="F322" s="2">
        <v>1056.22</v>
      </c>
    </row>
    <row r="323" spans="4:6" ht="12.75">
      <c r="D323" t="s">
        <v>197</v>
      </c>
      <c r="F323" s="2">
        <v>2988.8</v>
      </c>
    </row>
    <row r="325" spans="3:7" ht="12.75">
      <c r="C325" s="4" t="s">
        <v>198</v>
      </c>
      <c r="G325" s="7">
        <f>SUM(F326:F329)</f>
        <v>3268</v>
      </c>
    </row>
    <row r="326" spans="4:6" ht="12.75">
      <c r="D326" t="s">
        <v>200</v>
      </c>
      <c r="F326" s="2">
        <v>58.79</v>
      </c>
    </row>
    <row r="327" spans="4:6" ht="12.75">
      <c r="D327" t="s">
        <v>199</v>
      </c>
      <c r="F327" s="2">
        <v>452.09</v>
      </c>
    </row>
    <row r="328" spans="4:6" ht="12.75">
      <c r="D328" t="s">
        <v>92</v>
      </c>
      <c r="F328" s="2">
        <v>1773.19</v>
      </c>
    </row>
    <row r="329" spans="4:6" ht="12.75">
      <c r="D329" t="s">
        <v>91</v>
      </c>
      <c r="F329" s="2">
        <v>983.93</v>
      </c>
    </row>
    <row r="331" spans="3:7" ht="12.75">
      <c r="C331" s="4" t="s">
        <v>201</v>
      </c>
      <c r="G331" s="7">
        <v>828.83</v>
      </c>
    </row>
    <row r="332" ht="12.75">
      <c r="D332" t="s">
        <v>92</v>
      </c>
    </row>
    <row r="335" ht="15.75">
      <c r="B335" s="11" t="s">
        <v>202</v>
      </c>
    </row>
    <row r="336" ht="12.75">
      <c r="B336" s="1"/>
    </row>
    <row r="338" spans="3:7" ht="12.75">
      <c r="C338" s="4" t="s">
        <v>203</v>
      </c>
      <c r="G338" s="7">
        <f>SUM(F339:F344)</f>
        <v>18023.899999999994</v>
      </c>
    </row>
    <row r="339" spans="4:6" ht="12.75">
      <c r="D339" t="s">
        <v>192</v>
      </c>
      <c r="F339" s="2">
        <v>30505.93</v>
      </c>
    </row>
    <row r="340" spans="4:6" ht="12.75">
      <c r="D340" t="s">
        <v>204</v>
      </c>
      <c r="F340" s="2">
        <v>2116.74</v>
      </c>
    </row>
    <row r="341" spans="4:6" ht="12.75">
      <c r="D341" t="s">
        <v>207</v>
      </c>
      <c r="F341" s="2">
        <v>753.77</v>
      </c>
    </row>
    <row r="342" spans="4:6" ht="12.75">
      <c r="D342" t="s">
        <v>255</v>
      </c>
      <c r="F342" s="2">
        <v>-14032.16</v>
      </c>
    </row>
    <row r="343" spans="4:6" ht="12.75">
      <c r="D343" t="s">
        <v>205</v>
      </c>
      <c r="F343" s="2">
        <v>-973.66</v>
      </c>
    </row>
    <row r="344" spans="4:6" ht="12.75">
      <c r="D344" t="s">
        <v>206</v>
      </c>
      <c r="F344" s="2">
        <v>-346.72</v>
      </c>
    </row>
    <row r="346" spans="3:7" ht="12.75">
      <c r="C346" s="4" t="s">
        <v>208</v>
      </c>
      <c r="G346" s="7">
        <f>F347+F348+F349</f>
        <v>111365.15999999999</v>
      </c>
    </row>
    <row r="347" spans="4:6" ht="12.75">
      <c r="D347" t="s">
        <v>197</v>
      </c>
      <c r="F347" s="2">
        <v>101787.31</v>
      </c>
    </row>
    <row r="348" spans="4:6" ht="12.75">
      <c r="D348" t="s">
        <v>204</v>
      </c>
      <c r="F348" s="2">
        <v>7062.79</v>
      </c>
    </row>
    <row r="349" spans="4:6" ht="12.75">
      <c r="D349" t="s">
        <v>207</v>
      </c>
      <c r="F349" s="2">
        <v>2515.06</v>
      </c>
    </row>
    <row r="351" spans="3:7" ht="12.75">
      <c r="C351" s="4" t="s">
        <v>209</v>
      </c>
      <c r="G351" s="7">
        <f>SUM(F352:F357)</f>
        <v>2594.030000000001</v>
      </c>
    </row>
    <row r="352" spans="4:6" ht="12.75">
      <c r="D352" t="s">
        <v>192</v>
      </c>
      <c r="F352" s="2">
        <v>3992.1</v>
      </c>
    </row>
    <row r="353" spans="4:6" ht="12.75">
      <c r="D353" t="s">
        <v>204</v>
      </c>
      <c r="F353" s="2">
        <v>277</v>
      </c>
    </row>
    <row r="354" spans="4:6" ht="12.75">
      <c r="D354" t="s">
        <v>207</v>
      </c>
      <c r="F354" s="2">
        <v>98.64</v>
      </c>
    </row>
    <row r="355" spans="4:6" ht="12.75">
      <c r="D355" t="s">
        <v>255</v>
      </c>
      <c r="F355" s="2">
        <v>-1621.16</v>
      </c>
    </row>
    <row r="356" spans="4:6" ht="12.75">
      <c r="D356" t="s">
        <v>205</v>
      </c>
      <c r="F356" s="2">
        <v>-112.49</v>
      </c>
    </row>
    <row r="357" spans="4:6" ht="12.75">
      <c r="D357" t="s">
        <v>206</v>
      </c>
      <c r="F357" s="2">
        <v>-40.06</v>
      </c>
    </row>
    <row r="359" spans="3:7" ht="12.75">
      <c r="C359" s="4" t="s">
        <v>210</v>
      </c>
      <c r="G359" s="7">
        <f>SUM(F360:F365)</f>
        <v>749.94</v>
      </c>
    </row>
    <row r="360" spans="4:6" ht="12.75">
      <c r="D360" t="s">
        <v>192</v>
      </c>
      <c r="F360" s="2">
        <v>3338.05</v>
      </c>
    </row>
    <row r="361" spans="4:6" ht="12.75">
      <c r="D361" t="s">
        <v>204</v>
      </c>
      <c r="F361" s="2">
        <v>231.62</v>
      </c>
    </row>
    <row r="362" spans="4:6" ht="12.75">
      <c r="D362" t="s">
        <v>207</v>
      </c>
      <c r="F362" s="2">
        <v>82.48</v>
      </c>
    </row>
    <row r="363" spans="4:6" ht="12.75">
      <c r="D363" t="s">
        <v>255</v>
      </c>
      <c r="F363" s="2">
        <v>-2652.61</v>
      </c>
    </row>
    <row r="364" spans="4:6" ht="12.75">
      <c r="D364" t="s">
        <v>205</v>
      </c>
      <c r="F364" s="2">
        <v>-184.06</v>
      </c>
    </row>
    <row r="365" spans="4:6" ht="12.75">
      <c r="D365" t="s">
        <v>206</v>
      </c>
      <c r="F365" s="2">
        <v>-65.54</v>
      </c>
    </row>
    <row r="367" spans="3:7" ht="12.75">
      <c r="C367" s="4" t="s">
        <v>211</v>
      </c>
      <c r="G367" s="7">
        <f>SUM(F368:F373)</f>
        <v>62781.99000000001</v>
      </c>
    </row>
    <row r="368" spans="4:6" ht="12.75">
      <c r="D368" t="s">
        <v>192</v>
      </c>
      <c r="F368" s="2">
        <v>60178.98</v>
      </c>
    </row>
    <row r="369" spans="4:6" ht="12.75">
      <c r="D369" t="s">
        <v>204</v>
      </c>
      <c r="F369" s="2">
        <v>4175.69</v>
      </c>
    </row>
    <row r="370" spans="4:6" ht="12.75">
      <c r="D370" t="s">
        <v>207</v>
      </c>
      <c r="F370" s="2">
        <v>1486.95</v>
      </c>
    </row>
    <row r="371" spans="4:6" ht="12.75">
      <c r="D371" t="s">
        <v>255</v>
      </c>
      <c r="F371" s="2">
        <v>-2796.49</v>
      </c>
    </row>
    <row r="372" spans="4:6" ht="12.75">
      <c r="D372" t="s">
        <v>205</v>
      </c>
      <c r="F372" s="2">
        <v>-194.05</v>
      </c>
    </row>
    <row r="373" spans="4:6" ht="12.75">
      <c r="D373" t="s">
        <v>206</v>
      </c>
      <c r="F373" s="2">
        <v>-69.09</v>
      </c>
    </row>
    <row r="375" spans="3:7" ht="12.75">
      <c r="C375" s="4" t="s">
        <v>212</v>
      </c>
      <c r="G375" s="7">
        <f>F376+F377+F378</f>
        <v>89901.84</v>
      </c>
    </row>
    <row r="376" spans="4:6" ht="12.75">
      <c r="D376" t="s">
        <v>192</v>
      </c>
      <c r="F376" s="2">
        <v>82169.92</v>
      </c>
    </row>
    <row r="377" spans="4:6" ht="12.75">
      <c r="D377" t="s">
        <v>204</v>
      </c>
      <c r="F377" s="2">
        <v>5701.59</v>
      </c>
    </row>
    <row r="378" spans="4:6" ht="12.75">
      <c r="D378" t="s">
        <v>207</v>
      </c>
      <c r="F378" s="2">
        <v>2030.33</v>
      </c>
    </row>
    <row r="380" spans="3:7" ht="12.75">
      <c r="C380" s="4" t="s">
        <v>213</v>
      </c>
      <c r="G380" s="7">
        <f>SUM(F381:F389)</f>
        <v>110592.77000000002</v>
      </c>
    </row>
    <row r="381" spans="4:6" ht="12.75">
      <c r="D381" t="s">
        <v>192</v>
      </c>
      <c r="F381" s="2">
        <v>189924.16</v>
      </c>
    </row>
    <row r="382" spans="4:6" ht="12.75">
      <c r="D382" t="s">
        <v>214</v>
      </c>
      <c r="F382" s="2">
        <v>977.43</v>
      </c>
    </row>
    <row r="383" spans="4:6" ht="12.75">
      <c r="D383" t="s">
        <v>97</v>
      </c>
      <c r="F383" s="2">
        <v>5241.48</v>
      </c>
    </row>
    <row r="384" spans="4:6" ht="12.75">
      <c r="D384" t="s">
        <v>103</v>
      </c>
      <c r="F384" s="2">
        <v>2278.8</v>
      </c>
    </row>
    <row r="385" spans="4:6" ht="12.75">
      <c r="D385" t="s">
        <v>204</v>
      </c>
      <c r="F385" s="2">
        <v>13178.41</v>
      </c>
    </row>
    <row r="386" spans="4:6" ht="12.75">
      <c r="D386" t="s">
        <v>207</v>
      </c>
      <c r="F386" s="2">
        <v>4692.82</v>
      </c>
    </row>
    <row r="387" spans="4:6" ht="12.75">
      <c r="D387" t="s">
        <v>255</v>
      </c>
      <c r="F387" s="2">
        <v>-96609.68</v>
      </c>
    </row>
    <row r="388" spans="4:6" ht="12.75">
      <c r="D388" t="s">
        <v>205</v>
      </c>
      <c r="F388" s="2">
        <v>-6703.53</v>
      </c>
    </row>
    <row r="389" spans="4:6" ht="12.75">
      <c r="D389" t="s">
        <v>206</v>
      </c>
      <c r="F389" s="2">
        <v>-2387.12</v>
      </c>
    </row>
    <row r="391" spans="3:7" ht="12.75">
      <c r="C391" s="4" t="s">
        <v>215</v>
      </c>
      <c r="G391" s="7">
        <f>F392+F393+F394</f>
        <v>3201.53</v>
      </c>
    </row>
    <row r="392" spans="4:6" ht="12.75">
      <c r="D392" t="s">
        <v>192</v>
      </c>
      <c r="F392" s="2">
        <v>2926.18</v>
      </c>
    </row>
    <row r="393" spans="4:6" ht="12.75">
      <c r="D393" t="s">
        <v>204</v>
      </c>
      <c r="F393" s="2">
        <v>203.05</v>
      </c>
    </row>
    <row r="394" spans="4:6" ht="12.75">
      <c r="D394" t="s">
        <v>207</v>
      </c>
      <c r="F394" s="2">
        <v>72.3</v>
      </c>
    </row>
    <row r="396" spans="3:7" ht="12.75">
      <c r="C396" s="4" t="s">
        <v>216</v>
      </c>
      <c r="G396" s="7">
        <f>SUM(F397:F404)</f>
        <v>9712.939999999988</v>
      </c>
    </row>
    <row r="397" spans="4:6" ht="12.75">
      <c r="D397" t="s">
        <v>26</v>
      </c>
      <c r="F397" s="2">
        <v>0.45</v>
      </c>
    </row>
    <row r="398" spans="4:6" ht="12.75">
      <c r="D398" t="s">
        <v>197</v>
      </c>
      <c r="F398" s="2">
        <v>60362.72</v>
      </c>
    </row>
    <row r="399" spans="4:6" ht="12.75">
      <c r="D399" t="s">
        <v>204</v>
      </c>
      <c r="F399" s="2">
        <v>4188.42</v>
      </c>
    </row>
    <row r="400" spans="4:6" ht="12.75">
      <c r="D400" t="s">
        <v>207</v>
      </c>
      <c r="F400" s="2">
        <v>1491.51</v>
      </c>
    </row>
    <row r="401" spans="4:6" ht="12.75">
      <c r="D401" t="s">
        <v>102</v>
      </c>
      <c r="F401" s="2">
        <v>991.72</v>
      </c>
    </row>
    <row r="402" spans="4:6" ht="12.75">
      <c r="D402" t="s">
        <v>105</v>
      </c>
      <c r="F402" s="2">
        <v>1116.72</v>
      </c>
    </row>
    <row r="403" spans="4:6" ht="12.75">
      <c r="D403" t="s">
        <v>103</v>
      </c>
      <c r="F403" s="2">
        <v>1561.4</v>
      </c>
    </row>
    <row r="404" spans="4:6" ht="12.75">
      <c r="D404" t="s">
        <v>256</v>
      </c>
      <c r="F404" s="2">
        <v>-60000</v>
      </c>
    </row>
    <row r="406" spans="3:7" ht="12.75">
      <c r="C406" s="4" t="s">
        <v>237</v>
      </c>
      <c r="G406" s="7">
        <f>F407+F408</f>
        <v>80900</v>
      </c>
    </row>
    <row r="407" spans="4:6" ht="12.75">
      <c r="D407" t="s">
        <v>235</v>
      </c>
      <c r="F407" s="2">
        <v>43700</v>
      </c>
    </row>
    <row r="408" spans="4:6" ht="12.75">
      <c r="D408" t="s">
        <v>236</v>
      </c>
      <c r="F408" s="2">
        <v>37200</v>
      </c>
    </row>
    <row r="411" ht="15.75">
      <c r="B411" s="11" t="s">
        <v>217</v>
      </c>
    </row>
    <row r="412" ht="15.75">
      <c r="B412" s="11"/>
    </row>
    <row r="414" spans="3:7" ht="12.75">
      <c r="C414" s="4" t="s">
        <v>218</v>
      </c>
      <c r="G414" s="7">
        <f>F415+F416+F417</f>
        <v>-113.12999999999965</v>
      </c>
    </row>
    <row r="415" spans="4:6" ht="12.75">
      <c r="D415" t="s">
        <v>26</v>
      </c>
      <c r="F415" s="2">
        <v>-0.45</v>
      </c>
    </row>
    <row r="416" spans="4:6" ht="12.75">
      <c r="D416" t="s">
        <v>219</v>
      </c>
      <c r="F416" s="2">
        <v>-2979.24</v>
      </c>
    </row>
    <row r="417" spans="4:6" ht="12.75">
      <c r="D417" t="s">
        <v>220</v>
      </c>
      <c r="F417" s="2">
        <v>2866.56</v>
      </c>
    </row>
    <row r="419" spans="3:7" ht="12.75">
      <c r="C419" s="4" t="s">
        <v>221</v>
      </c>
      <c r="G419" s="7">
        <f>SUM(F420:F425)</f>
        <v>-6042.58</v>
      </c>
    </row>
    <row r="420" spans="4:6" ht="12.75">
      <c r="D420" t="s">
        <v>245</v>
      </c>
      <c r="F420" s="2">
        <f>-29.33+-29.33+-29.33+-29.33+-29.33+-29.33+-29.33+-29.33+-29.33+-29.33+-29.33+-29.33</f>
        <v>-351.95999999999987</v>
      </c>
    </row>
    <row r="421" spans="4:6" ht="12.75">
      <c r="D421" t="s">
        <v>246</v>
      </c>
      <c r="F421" s="2">
        <f>-23.52+-23.57+-23.62+-23.68+-23.73+-23.78+-23.84+-23.89+-23.94+-24+-142.68+-142.36</f>
        <v>-522.6100000000001</v>
      </c>
    </row>
    <row r="422" spans="4:6" ht="12.75">
      <c r="D422" t="s">
        <v>247</v>
      </c>
      <c r="F422" s="2">
        <f>-234.81+-235.35+-235.88+-236.41+-236.95+-237.48+-238.02+-238.56+-239.64+-239.1+-240.18+-240.73</f>
        <v>-2853.1099999999997</v>
      </c>
    </row>
    <row r="423" spans="4:6" ht="12.75">
      <c r="D423" t="s">
        <v>248</v>
      </c>
      <c r="F423" s="2">
        <v>-1673.56</v>
      </c>
    </row>
    <row r="424" spans="4:6" ht="12.75">
      <c r="D424" t="s">
        <v>249</v>
      </c>
      <c r="F424" s="2">
        <v>-641.34</v>
      </c>
    </row>
    <row r="427" ht="15.75">
      <c r="B427" s="11" t="s">
        <v>222</v>
      </c>
    </row>
    <row r="429" spans="4:7" ht="12.75">
      <c r="D429" t="s">
        <v>223</v>
      </c>
      <c r="G429" s="7">
        <v>10000</v>
      </c>
    </row>
    <row r="430" spans="7:8" ht="13.5" thickBot="1">
      <c r="G430" s="12"/>
      <c r="H430" s="12"/>
    </row>
    <row r="431" ht="13.5" thickTop="1">
      <c r="E431" s="5"/>
    </row>
    <row r="432" spans="5:8" ht="12.75">
      <c r="E432" s="6" t="s">
        <v>224</v>
      </c>
      <c r="F432" s="7"/>
      <c r="G432" s="7">
        <f>SUM(G13:G431)</f>
        <v>633741.37</v>
      </c>
      <c r="H432" s="7">
        <f>SUM(H13:H431)</f>
        <v>467138.74999999994</v>
      </c>
    </row>
    <row r="433" spans="5:6" ht="12.75">
      <c r="E433" s="1"/>
      <c r="F433" s="7"/>
    </row>
    <row r="434" spans="5:8" ht="15.75">
      <c r="E434" s="9" t="s">
        <v>250</v>
      </c>
      <c r="F434" s="9"/>
      <c r="G434" s="8">
        <f>G432+H432</f>
        <v>1100880.1199999999</v>
      </c>
      <c r="H434" s="8"/>
    </row>
  </sheetData>
  <sheetProtection password="81E5" sheet="1" objects="1" scenarios="1"/>
  <mergeCells count="3">
    <mergeCell ref="G434:H434"/>
    <mergeCell ref="E434:F434"/>
    <mergeCell ref="A4:H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1" r:id="rId1"/>
  <headerFooter alignWithMargins="0">
    <oddFooter>&amp;L&amp;P</oddFooter>
  </headerFooter>
  <rowBreaks count="6" manualBreakCount="6">
    <brk id="62" max="255" man="1"/>
    <brk id="121" max="255" man="1"/>
    <brk id="183" max="255" man="1"/>
    <brk id="241" max="255" man="1"/>
    <brk id="303" max="7" man="1"/>
    <brk id="3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Gabaglio</dc:creator>
  <cp:keywords/>
  <dc:description/>
  <cp:lastModifiedBy>M. Gabaglio</cp:lastModifiedBy>
  <cp:lastPrinted>2006-02-28T16:49:44Z</cp:lastPrinted>
  <dcterms:created xsi:type="dcterms:W3CDTF">2006-02-23T16:04:53Z</dcterms:created>
  <dcterms:modified xsi:type="dcterms:W3CDTF">2006-02-28T16:54:00Z</dcterms:modified>
  <cp:category/>
  <cp:version/>
  <cp:contentType/>
  <cp:contentStatus/>
</cp:coreProperties>
</file>